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<sst xmlns="http://schemas.openxmlformats.org/spreadsheetml/2006/main" count="1722" uniqueCount="324">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</sst>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319</v>
      </c>
      <c r="N3" s="263" t="s">
        <v>320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315</v>
      </c>
      <c r="F4" s="246" t="s">
        <v>116</v>
      </c>
      <c r="G4" s="248" t="s">
        <v>316</v>
      </c>
      <c r="H4" s="250" t="s">
        <v>317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323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8"/>
      <c r="K5" s="239" t="s">
        <v>318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596176.17</v>
      </c>
      <c r="G8" s="18">
        <f aca="true" t="shared" si="0" ref="G8:G54">F8-E8</f>
        <v>55532.59999999998</v>
      </c>
      <c r="H8" s="45">
        <f>F8/E8*100</f>
        <v>110.27157319192753</v>
      </c>
      <c r="I8" s="31">
        <f aca="true" t="shared" si="1" ref="I8:I54">F8-D8</f>
        <v>23887.170000000042</v>
      </c>
      <c r="J8" s="31">
        <f aca="true" t="shared" si="2" ref="J8:J14">F8/D8*100</f>
        <v>104.17396979498122</v>
      </c>
      <c r="K8" s="18">
        <f>K9+K15+K18+K19+K20+K32</f>
        <v>150152.21600000001</v>
      </c>
      <c r="L8" s="18"/>
      <c r="M8" s="18">
        <f>M9+M15+M18+M19+M20+M32+M17</f>
        <v>37118.100000000006</v>
      </c>
      <c r="N8" s="18">
        <f>N9+N15+N18+N19+N20+N32+N17</f>
        <v>53589.940000000024</v>
      </c>
      <c r="O8" s="31">
        <f aca="true" t="shared" si="3" ref="O8:O54">N8-M8</f>
        <v>16471.84000000002</v>
      </c>
      <c r="P8" s="31">
        <f>F8/M8*100</f>
        <v>1606.1602560475887</v>
      </c>
      <c r="Q8" s="31">
        <f>N8-33748.16</f>
        <v>19841.78000000002</v>
      </c>
      <c r="R8" s="125">
        <f>N8/33748.16</f>
        <v>1.5879366460275173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322817.49</v>
      </c>
      <c r="G9" s="43">
        <f t="shared" si="0"/>
        <v>32850.369999999995</v>
      </c>
      <c r="H9" s="35">
        <f aca="true" t="shared" si="4" ref="H9:H38">F9/E9*100</f>
        <v>111.32899826711386</v>
      </c>
      <c r="I9" s="50">
        <f t="shared" si="1"/>
        <v>10627.48999999999</v>
      </c>
      <c r="J9" s="50">
        <f t="shared" si="2"/>
        <v>103.40417374035043</v>
      </c>
      <c r="K9" s="132">
        <f>F9-349197.38/75*60</f>
        <v>43459.58600000001</v>
      </c>
      <c r="L9" s="132">
        <f>F9/(349197.38/75*60)*100</f>
        <v>115.55695592561435</v>
      </c>
      <c r="M9" s="35">
        <f>E9-жовтень!E9</f>
        <v>20102</v>
      </c>
      <c r="N9" s="35">
        <f>F9-жовтень!F9</f>
        <v>26542.159999999974</v>
      </c>
      <c r="O9" s="47">
        <f t="shared" si="3"/>
        <v>6440.159999999974</v>
      </c>
      <c r="P9" s="50">
        <f aca="true" t="shared" si="5" ref="P9:P32">N9/M9*100</f>
        <v>132.0374092130135</v>
      </c>
      <c r="Q9" s="132">
        <f>N9-26568.11</f>
        <v>-25.950000000026193</v>
      </c>
      <c r="R9" s="133">
        <f>N9/26568.11</f>
        <v>0.9990232651099372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286239.2</v>
      </c>
      <c r="G10" s="135">
        <f t="shared" si="0"/>
        <v>33878.380000000005</v>
      </c>
      <c r="H10" s="137">
        <f t="shared" si="4"/>
        <v>113.42457993281208</v>
      </c>
      <c r="I10" s="136">
        <f t="shared" si="1"/>
        <v>15829.200000000012</v>
      </c>
      <c r="J10" s="136">
        <f t="shared" si="2"/>
        <v>105.85377759698235</v>
      </c>
      <c r="K10" s="138">
        <f>F10-310040.1/75*60</f>
        <v>38207.12000000005</v>
      </c>
      <c r="L10" s="138">
        <f>F10/(310040.1/75*60)*100</f>
        <v>115.40410417878206</v>
      </c>
      <c r="M10" s="137">
        <f>E10-жовтень!E10</f>
        <v>16400</v>
      </c>
      <c r="N10" s="137">
        <f>F10-жовтень!F10</f>
        <v>23603.919999999984</v>
      </c>
      <c r="O10" s="138">
        <f t="shared" si="3"/>
        <v>7203.919999999984</v>
      </c>
      <c r="P10" s="136">
        <f t="shared" si="5"/>
        <v>143.92634146341453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17179.57</v>
      </c>
      <c r="G11" s="135">
        <f t="shared" si="0"/>
        <v>-3790.3300000000017</v>
      </c>
      <c r="H11" s="137">
        <f t="shared" si="4"/>
        <v>81.92490188317541</v>
      </c>
      <c r="I11" s="136">
        <f t="shared" si="1"/>
        <v>-6020.43</v>
      </c>
      <c r="J11" s="136">
        <f t="shared" si="2"/>
        <v>74.04987068965518</v>
      </c>
      <c r="K11" s="138">
        <f>F11-24192.03/75*60</f>
        <v>-2174.0539999999964</v>
      </c>
      <c r="L11" s="138">
        <f>F11/(24192.03/75*60)*100</f>
        <v>88.76668266367066</v>
      </c>
      <c r="M11" s="137">
        <f>E11-жовтень!E11</f>
        <v>2052</v>
      </c>
      <c r="N11" s="137">
        <f>F11-жовтень!F11</f>
        <v>1370.5299999999988</v>
      </c>
      <c r="O11" s="138">
        <f t="shared" si="3"/>
        <v>-681.4700000000012</v>
      </c>
      <c r="P11" s="136">
        <f t="shared" si="5"/>
        <v>66.78996101364517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4537.59</v>
      </c>
      <c r="G12" s="135">
        <f t="shared" si="0"/>
        <v>-331.40999999999985</v>
      </c>
      <c r="H12" s="137">
        <f t="shared" si="4"/>
        <v>93.19346888478127</v>
      </c>
      <c r="I12" s="136">
        <f t="shared" si="1"/>
        <v>-1262.4099999999999</v>
      </c>
      <c r="J12" s="136">
        <f t="shared" si="2"/>
        <v>78.23431034482759</v>
      </c>
      <c r="K12" s="138">
        <f>F12-6123.95/75*60</f>
        <v>-361.5699999999997</v>
      </c>
      <c r="L12" s="138">
        <f>F12/(6123.95*60)*100</f>
        <v>1.2349300696445922</v>
      </c>
      <c r="M12" s="137">
        <f>E12-жовтень!E12</f>
        <v>420</v>
      </c>
      <c r="N12" s="137">
        <f>F12-жовтень!F12</f>
        <v>368.4499999999998</v>
      </c>
      <c r="O12" s="138">
        <f t="shared" si="3"/>
        <v>-51.55000000000018</v>
      </c>
      <c r="P12" s="136">
        <f t="shared" si="5"/>
        <v>87.72619047619044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6691.27</v>
      </c>
      <c r="G13" s="135">
        <f t="shared" si="0"/>
        <v>-1092.1299999999992</v>
      </c>
      <c r="H13" s="137">
        <f t="shared" si="4"/>
        <v>85.96847136212968</v>
      </c>
      <c r="I13" s="136">
        <f t="shared" si="1"/>
        <v>-1708.7299999999996</v>
      </c>
      <c r="J13" s="136">
        <f t="shared" si="2"/>
        <v>79.6579761904762</v>
      </c>
      <c r="K13" s="138">
        <f>F13-8694.58/75*60</f>
        <v>-264.3939999999993</v>
      </c>
      <c r="L13" s="138">
        <f>F13/(8694.58/75*60)*100</f>
        <v>96.19886757037143</v>
      </c>
      <c r="M13" s="137">
        <f>E13-жовтень!E13</f>
        <v>840</v>
      </c>
      <c r="N13" s="137">
        <f>F13-жовтень!F13</f>
        <v>592.4000000000005</v>
      </c>
      <c r="O13" s="138">
        <f t="shared" si="3"/>
        <v>-247.59999999999945</v>
      </c>
      <c r="P13" s="136">
        <f t="shared" si="5"/>
        <v>70.52380952380959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 t="shared" si="0"/>
        <v>4185.86</v>
      </c>
      <c r="H14" s="137">
        <f t="shared" si="4"/>
        <v>205.0667670682731</v>
      </c>
      <c r="I14" s="136">
        <f t="shared" si="1"/>
        <v>3789.8599999999997</v>
      </c>
      <c r="J14" s="136">
        <f t="shared" si="2"/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 t="shared" si="3"/>
        <v>216.88999999999942</v>
      </c>
      <c r="P14" s="136">
        <f t="shared" si="5"/>
        <v>155.61282051282038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-540.76</v>
      </c>
      <c r="G15" s="43">
        <f t="shared" si="0"/>
        <v>-712.16</v>
      </c>
      <c r="H15" s="35"/>
      <c r="I15" s="50">
        <f t="shared" si="1"/>
        <v>-1040.76</v>
      </c>
      <c r="J15" s="50">
        <f>F15/D15*100</f>
        <v>-108.152</v>
      </c>
      <c r="K15" s="53">
        <f>F15-(-1352.56)</f>
        <v>811.8</v>
      </c>
      <c r="L15" s="53">
        <f>F15/(-1352.56)*100</f>
        <v>39.98048145738451</v>
      </c>
      <c r="M15" s="35">
        <f>E15-жовтень!E15</f>
        <v>0</v>
      </c>
      <c r="N15" s="35">
        <f>F15-жовтень!F15</f>
        <v>50.110000000000014</v>
      </c>
      <c r="O15" s="47">
        <f t="shared" si="3"/>
        <v>50.110000000000014</v>
      </c>
      <c r="P15" s="50"/>
      <c r="Q15" s="50">
        <f>N15-358.81</f>
        <v>-308.7</v>
      </c>
      <c r="R15" s="126">
        <f>N15/358.81</f>
        <v>0.13965608539338373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63169.1</v>
      </c>
      <c r="G19" s="43">
        <f t="shared" si="0"/>
        <v>1506.3499999999985</v>
      </c>
      <c r="H19" s="35">
        <f t="shared" si="4"/>
        <v>102.44288488593195</v>
      </c>
      <c r="I19" s="50">
        <f t="shared" si="1"/>
        <v>959.0999999999985</v>
      </c>
      <c r="J19" s="178">
        <f>F19/D19*100</f>
        <v>101.54171355087607</v>
      </c>
      <c r="K19" s="179">
        <f>F19-0</f>
        <v>63169.1</v>
      </c>
      <c r="L19" s="180"/>
      <c r="M19" s="35">
        <f>E19-жовтень!E19</f>
        <v>4140</v>
      </c>
      <c r="N19" s="35">
        <f>F19-жовтень!F19</f>
        <v>4684.049999999996</v>
      </c>
      <c r="O19" s="47">
        <f t="shared" si="3"/>
        <v>544.0499999999956</v>
      </c>
      <c r="P19" s="50">
        <f t="shared" si="5"/>
        <v>113.141304347826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203857.68000000002</v>
      </c>
      <c r="G20" s="43">
        <f t="shared" si="0"/>
        <v>22534.180000000022</v>
      </c>
      <c r="H20" s="35">
        <f t="shared" si="4"/>
        <v>112.42761142378126</v>
      </c>
      <c r="I20" s="50">
        <f t="shared" si="1"/>
        <v>13987.680000000022</v>
      </c>
      <c r="J20" s="178">
        <f aca="true" t="shared" si="6" ref="J20:J46">F20/D20*100</f>
        <v>107.36697740559332</v>
      </c>
      <c r="K20" s="178">
        <f>K21+K25+K26+K27</f>
        <v>43249.53</v>
      </c>
      <c r="L20" s="136"/>
      <c r="M20" s="35">
        <f>E20-жовтень!E20</f>
        <v>11129.600000000006</v>
      </c>
      <c r="N20" s="35">
        <f>F20-жовтень!F20</f>
        <v>21042.650000000052</v>
      </c>
      <c r="O20" s="47">
        <f t="shared" si="3"/>
        <v>9913.050000000047</v>
      </c>
      <c r="P20" s="50">
        <f t="shared" si="5"/>
        <v>189.06923878665938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106171.76000000001</v>
      </c>
      <c r="G21" s="43">
        <f t="shared" si="0"/>
        <v>1656.7600000000093</v>
      </c>
      <c r="H21" s="35">
        <f t="shared" si="4"/>
        <v>101.5851887288906</v>
      </c>
      <c r="I21" s="50">
        <f t="shared" si="1"/>
        <v>-4128.239999999991</v>
      </c>
      <c r="J21" s="178">
        <f t="shared" si="6"/>
        <v>96.25726201269266</v>
      </c>
      <c r="K21" s="178">
        <f>K22+K23+K24</f>
        <v>30719.02</v>
      </c>
      <c r="L21" s="136"/>
      <c r="M21" s="35">
        <f>E21-жовтень!E21</f>
        <v>8232.600000000006</v>
      </c>
      <c r="N21" s="35">
        <f>F21-жовтень!F21</f>
        <v>5396.970000000016</v>
      </c>
      <c r="O21" s="47">
        <f t="shared" si="3"/>
        <v>-2835.62999999999</v>
      </c>
      <c r="P21" s="50">
        <f t="shared" si="5"/>
        <v>65.55608191822768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12680.17</v>
      </c>
      <c r="G22" s="135">
        <f t="shared" si="0"/>
        <v>1980.17</v>
      </c>
      <c r="H22" s="137">
        <f t="shared" si="4"/>
        <v>118.50626168224298</v>
      </c>
      <c r="I22" s="136">
        <f t="shared" si="1"/>
        <v>1980.17</v>
      </c>
      <c r="J22" s="136">
        <f t="shared" si="6"/>
        <v>118.50626168224298</v>
      </c>
      <c r="K22" s="136">
        <f>F22-454.97</f>
        <v>12225.2</v>
      </c>
      <c r="L22" s="136">
        <f>F22/454.97*100</f>
        <v>2787.0343099545025</v>
      </c>
      <c r="M22" s="137">
        <f>E22-жовтень!E22</f>
        <v>54.600000000000364</v>
      </c>
      <c r="N22" s="137">
        <f>F22-жовтень!F22</f>
        <v>194.04000000000087</v>
      </c>
      <c r="O22" s="138">
        <f t="shared" si="3"/>
        <v>139.4400000000005</v>
      </c>
      <c r="P22" s="136">
        <f t="shared" si="5"/>
        <v>355.3846153846146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3648.96</v>
      </c>
      <c r="G23" s="135">
        <f t="shared" si="0"/>
        <v>1548.96</v>
      </c>
      <c r="H23" s="137">
        <f t="shared" si="4"/>
        <v>173.76</v>
      </c>
      <c r="I23" s="136">
        <f t="shared" si="1"/>
        <v>1548.96</v>
      </c>
      <c r="J23" s="136">
        <f t="shared" si="6"/>
        <v>173.76</v>
      </c>
      <c r="K23" s="136">
        <f>F23-0</f>
        <v>3648.96</v>
      </c>
      <c r="L23" s="136"/>
      <c r="M23" s="137">
        <f>E23-жовтень!E23</f>
        <v>8</v>
      </c>
      <c r="N23" s="137">
        <f>F23-жовтень!F23</f>
        <v>155</v>
      </c>
      <c r="O23" s="138">
        <f t="shared" si="3"/>
        <v>147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89842.63</v>
      </c>
      <c r="G24" s="135">
        <f t="shared" si="0"/>
        <v>-1872.3699999999953</v>
      </c>
      <c r="H24" s="137">
        <f t="shared" si="4"/>
        <v>97.9584909774846</v>
      </c>
      <c r="I24" s="136">
        <f t="shared" si="1"/>
        <v>-7657.369999999995</v>
      </c>
      <c r="J24" s="136">
        <f t="shared" si="6"/>
        <v>92.14628717948719</v>
      </c>
      <c r="K24" s="224">
        <f>F24-74997.77</f>
        <v>14844.86</v>
      </c>
      <c r="L24" s="224">
        <f>F24/74997.77*100</f>
        <v>119.79373520039329</v>
      </c>
      <c r="M24" s="137">
        <f>E24-жовтень!E24</f>
        <v>8170</v>
      </c>
      <c r="N24" s="137">
        <f>F24-жовтень!F24</f>
        <v>5047.930000000008</v>
      </c>
      <c r="O24" s="138">
        <f t="shared" si="3"/>
        <v>-3122.0699999999924</v>
      </c>
      <c r="P24" s="136">
        <f t="shared" si="5"/>
        <v>61.78616891064881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 t="shared" si="0"/>
        <v>10.590000000000003</v>
      </c>
      <c r="H25" s="35">
        <f t="shared" si="4"/>
        <v>116.6771653543307</v>
      </c>
      <c r="I25" s="50">
        <f t="shared" si="1"/>
        <v>4.090000000000003</v>
      </c>
      <c r="J25" s="178">
        <f t="shared" si="6"/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 t="shared" si="3"/>
        <v>1.4500000000000028</v>
      </c>
      <c r="P25" s="50">
        <f t="shared" si="5"/>
        <v>112.08333333333336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-766.02</v>
      </c>
      <c r="G26" s="43">
        <f t="shared" si="0"/>
        <v>-766.02</v>
      </c>
      <c r="H26" s="35"/>
      <c r="I26" s="50">
        <f t="shared" si="1"/>
        <v>-766.02</v>
      </c>
      <c r="J26" s="136"/>
      <c r="K26" s="178">
        <f>F26-5772.25</f>
        <v>-6538.27</v>
      </c>
      <c r="L26" s="178">
        <f>F26/5772.25*100</f>
        <v>-13.270734982026072</v>
      </c>
      <c r="M26" s="35">
        <f>E26-жовтень!E26</f>
        <v>0</v>
      </c>
      <c r="N26" s="35">
        <f>F26-жовтень!F26</f>
        <v>-25.079999999999927</v>
      </c>
      <c r="O26" s="47">
        <f t="shared" si="3"/>
        <v>-25.079999999999927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98377.85</v>
      </c>
      <c r="G27" s="43">
        <f t="shared" si="0"/>
        <v>21632.850000000006</v>
      </c>
      <c r="H27" s="35">
        <f t="shared" si="4"/>
        <v>128.18796012769562</v>
      </c>
      <c r="I27" s="50">
        <f t="shared" si="1"/>
        <v>18877.850000000006</v>
      </c>
      <c r="J27" s="178">
        <f t="shared" si="6"/>
        <v>123.74572327044027</v>
      </c>
      <c r="K27" s="132">
        <f>F27-79317.8</f>
        <v>19060.050000000003</v>
      </c>
      <c r="L27" s="132">
        <f>F27/79317.8*100</f>
        <v>124.02997813857672</v>
      </c>
      <c r="M27" s="35">
        <f>E27-жовтень!E27</f>
        <v>2885</v>
      </c>
      <c r="N27" s="35">
        <f>F27-жовтень!F27</f>
        <v>15657.310000000012</v>
      </c>
      <c r="O27" s="47">
        <f t="shared" si="3"/>
        <v>12772.310000000012</v>
      </c>
      <c r="P27" s="50">
        <f t="shared" si="5"/>
        <v>542.7143847487006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 t="shared" si="0"/>
        <v>-1.15</v>
      </c>
      <c r="H28" s="137"/>
      <c r="I28" s="136">
        <f t="shared" si="1"/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23648.79</v>
      </c>
      <c r="G29" s="135">
        <f t="shared" si="0"/>
        <v>4838.790000000001</v>
      </c>
      <c r="H29" s="137">
        <f t="shared" si="4"/>
        <v>125.72456140350879</v>
      </c>
      <c r="I29" s="136">
        <f t="shared" si="1"/>
        <v>4448.790000000001</v>
      </c>
      <c r="J29" s="136">
        <f t="shared" si="6"/>
        <v>123.17078125</v>
      </c>
      <c r="K29" s="139">
        <f>F29-22211.27</f>
        <v>1437.5200000000004</v>
      </c>
      <c r="L29" s="139">
        <f>F29/22211.27*100</f>
        <v>106.4720297398573</v>
      </c>
      <c r="M29" s="137">
        <f>E29-жовтень!E29</f>
        <v>730</v>
      </c>
      <c r="N29" s="137">
        <f>F29-жовтень!F29</f>
        <v>3685.459999999999</v>
      </c>
      <c r="O29" s="138">
        <f t="shared" si="3"/>
        <v>2955.459999999999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74700.92</v>
      </c>
      <c r="G30" s="135">
        <f t="shared" si="0"/>
        <v>16765.92</v>
      </c>
      <c r="H30" s="137">
        <f t="shared" si="4"/>
        <v>128.93919047208078</v>
      </c>
      <c r="I30" s="136">
        <f t="shared" si="1"/>
        <v>14400.919999999998</v>
      </c>
      <c r="J30" s="136">
        <f t="shared" si="6"/>
        <v>123.88212271973467</v>
      </c>
      <c r="K30" s="139">
        <f>F30-57105.32</f>
        <v>17595.6</v>
      </c>
      <c r="L30" s="139">
        <f>F30/57105.32*100</f>
        <v>130.81254075802394</v>
      </c>
      <c r="M30" s="137">
        <f>E30-жовтень!E30</f>
        <v>2155</v>
      </c>
      <c r="N30" s="137">
        <f>F30-жовтень!F30</f>
        <v>11971.43</v>
      </c>
      <c r="O30" s="138">
        <f t="shared" si="3"/>
        <v>9816.43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29.29</v>
      </c>
      <c r="G31" s="135">
        <f t="shared" si="0"/>
        <v>29.29</v>
      </c>
      <c r="H31" s="137"/>
      <c r="I31" s="136">
        <f t="shared" si="1"/>
        <v>29.29</v>
      </c>
      <c r="J31" s="136"/>
      <c r="K31" s="139">
        <f>F31-0</f>
        <v>29.29</v>
      </c>
      <c r="L31" s="139"/>
      <c r="M31" s="137">
        <f>E31-жовтень!E31</f>
        <v>0</v>
      </c>
      <c r="N31" s="137">
        <f>F31-жовтень!F31</f>
        <v>0.3999999999999986</v>
      </c>
      <c r="O31" s="138">
        <f t="shared" si="3"/>
        <v>0.3999999999999986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6765.12</v>
      </c>
      <c r="G32" s="43">
        <f t="shared" si="0"/>
        <v>-734.6800000000003</v>
      </c>
      <c r="H32" s="35">
        <f t="shared" si="4"/>
        <v>90.20400544014507</v>
      </c>
      <c r="I32" s="50">
        <f t="shared" si="1"/>
        <v>-734.8800000000001</v>
      </c>
      <c r="J32" s="178">
        <f t="shared" si="6"/>
        <v>90.2016</v>
      </c>
      <c r="K32" s="178">
        <f>F32-7378.96</f>
        <v>-613.8400000000001</v>
      </c>
      <c r="L32" s="178">
        <f>F32/7378.96*100</f>
        <v>91.68121252859481</v>
      </c>
      <c r="M32" s="35">
        <f>E32-жовтень!E32</f>
        <v>1740.5</v>
      </c>
      <c r="N32" s="35">
        <f>F32-жовтень!F32</f>
        <v>1179.37</v>
      </c>
      <c r="O32" s="47">
        <f t="shared" si="3"/>
        <v>-561.1300000000001</v>
      </c>
      <c r="P32" s="50">
        <f t="shared" si="5"/>
        <v>67.76041367423153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41617.45</v>
      </c>
      <c r="G33" s="44">
        <f t="shared" si="0"/>
        <v>5672.879999999997</v>
      </c>
      <c r="H33" s="45">
        <f t="shared" si="4"/>
        <v>115.78230035857987</v>
      </c>
      <c r="I33" s="31">
        <f t="shared" si="1"/>
        <v>4277.879999999997</v>
      </c>
      <c r="J33" s="31">
        <f t="shared" si="6"/>
        <v>111.45669326133107</v>
      </c>
      <c r="K33" s="18">
        <f>K34+K35+K36+K37+K38+K41+K42+K47+K48+K52+K40</f>
        <v>29717.72</v>
      </c>
      <c r="L33" s="18"/>
      <c r="M33" s="18">
        <f>M34+M35+M36+M37+M38+M41+M42+M47+M48+M52+M40+M39</f>
        <v>3394.300000000001</v>
      </c>
      <c r="N33" s="18">
        <f>N34+N35+N36+N37+N38+N41+N42+N47+N48+N52+N40+N39</f>
        <v>6535.699999999999</v>
      </c>
      <c r="O33" s="49">
        <f t="shared" si="3"/>
        <v>3141.399999999998</v>
      </c>
      <c r="P33" s="31">
        <f>N33/M33*100</f>
        <v>192.54927378251764</v>
      </c>
      <c r="Q33" s="31">
        <f>N33-1017.63</f>
        <v>5518.069999999999</v>
      </c>
      <c r="R33" s="127">
        <f>N33/1017.63</f>
        <v>6.422471821781983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 t="shared" si="0"/>
        <v>-99.79</v>
      </c>
      <c r="H34" s="35">
        <f t="shared" si="4"/>
        <v>0.21</v>
      </c>
      <c r="I34" s="50">
        <f t="shared" si="1"/>
        <v>0.21</v>
      </c>
      <c r="J34" s="50" t="e">
        <f t="shared" si="6"/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 t="shared" si="3"/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 t="shared" si="0"/>
        <v>3290.8399999999983</v>
      </c>
      <c r="H35" s="35">
        <f t="shared" si="4"/>
        <v>134.33871030013137</v>
      </c>
      <c r="I35" s="50">
        <f t="shared" si="1"/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 t="shared" si="3"/>
        <v>2488.3799999999983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378.05</v>
      </c>
      <c r="G36" s="43">
        <f t="shared" si="0"/>
        <v>138.05</v>
      </c>
      <c r="H36" s="35">
        <f t="shared" si="4"/>
        <v>157.52083333333334</v>
      </c>
      <c r="I36" s="50">
        <f t="shared" si="1"/>
        <v>138.05</v>
      </c>
      <c r="J36" s="50"/>
      <c r="K36" s="50">
        <f>F36-242.79</f>
        <v>135.26000000000002</v>
      </c>
      <c r="L36" s="50">
        <f>F36/242.79*100</f>
        <v>155.71069648667574</v>
      </c>
      <c r="M36" s="35">
        <f>E36-жовтень!E36</f>
        <v>0</v>
      </c>
      <c r="N36" s="35">
        <f>F36-жовтень!F36</f>
        <v>28.24000000000001</v>
      </c>
      <c r="O36" s="47">
        <f t="shared" si="3"/>
        <v>28.24000000000001</v>
      </c>
      <c r="P36" s="50"/>
      <c r="Q36" s="50">
        <f>N36-4.23</f>
        <v>24.01000000000001</v>
      </c>
      <c r="R36" s="126">
        <f>N36/4.23</f>
        <v>6.676122931442082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 t="shared" si="0"/>
        <v>-3.48</v>
      </c>
      <c r="H37" s="35">
        <f t="shared" si="4"/>
        <v>22.666666666666668</v>
      </c>
      <c r="I37" s="50">
        <f t="shared" si="1"/>
        <v>1.02</v>
      </c>
      <c r="J37" s="50" t="e">
        <f t="shared" si="6"/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 t="shared" si="3"/>
        <v>1.02</v>
      </c>
      <c r="P37" s="50" t="e">
        <f>N37/M37*100</f>
        <v>#DIV/0!</v>
      </c>
      <c r="Q37" s="50">
        <f>N37-0</f>
        <v>1.02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 t="shared" si="0"/>
        <v>137.83999999999997</v>
      </c>
      <c r="H38" s="35">
        <f t="shared" si="4"/>
        <v>206.03076923076918</v>
      </c>
      <c r="I38" s="50">
        <f t="shared" si="1"/>
        <v>127.83999999999997</v>
      </c>
      <c r="J38" s="50">
        <f t="shared" si="6"/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 t="shared" si="3"/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8846.42</v>
      </c>
      <c r="G40" s="43">
        <f t="shared" si="0"/>
        <v>-53.57999999999993</v>
      </c>
      <c r="H40" s="35">
        <f aca="true" t="shared" si="7" ref="H40:H46">F40/E40*100</f>
        <v>99.39797752808988</v>
      </c>
      <c r="I40" s="50">
        <f t="shared" si="1"/>
        <v>-153.57999999999993</v>
      </c>
      <c r="J40" s="50"/>
      <c r="K40" s="50">
        <f>F40-0</f>
        <v>8846.42</v>
      </c>
      <c r="L40" s="50"/>
      <c r="M40" s="35">
        <f>E40-жовтень!E40</f>
        <v>63</v>
      </c>
      <c r="N40" s="35">
        <f>F40-жовтень!F40</f>
        <v>462.71999999999935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 t="shared" si="0"/>
        <v>1830.7799999999997</v>
      </c>
      <c r="H41" s="35">
        <f t="shared" si="7"/>
        <v>128.8311811023622</v>
      </c>
      <c r="I41" s="50">
        <f t="shared" si="1"/>
        <v>1280.7799999999997</v>
      </c>
      <c r="J41" s="50">
        <f t="shared" si="6"/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 t="shared" si="3"/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6700.95</v>
      </c>
      <c r="G42" s="43">
        <f t="shared" si="0"/>
        <v>-110.65000000000055</v>
      </c>
      <c r="H42" s="35">
        <f t="shared" si="7"/>
        <v>98.37556521228493</v>
      </c>
      <c r="I42" s="50">
        <f t="shared" si="1"/>
        <v>-399.0500000000002</v>
      </c>
      <c r="J42" s="50">
        <f t="shared" si="6"/>
        <v>94.37957746478874</v>
      </c>
      <c r="K42" s="50">
        <f>F42-975.44</f>
        <v>5725.51</v>
      </c>
      <c r="L42" s="50">
        <f>F42/975.44*100</f>
        <v>686.96690724186</v>
      </c>
      <c r="M42" s="35">
        <f>E42-жовтень!E42</f>
        <v>420.3000000000002</v>
      </c>
      <c r="N42" s="35">
        <f>F42-жовтень!F42</f>
        <v>513.3999999999996</v>
      </c>
      <c r="O42" s="47">
        <f t="shared" si="3"/>
        <v>93.09999999999945</v>
      </c>
      <c r="P42" s="50">
        <f>N42/M42*100</f>
        <v>122.15084463478453</v>
      </c>
      <c r="Q42" s="50">
        <f>N42-79.51</f>
        <v>433.88999999999965</v>
      </c>
      <c r="R42" s="126">
        <f>N42/79.51</f>
        <v>6.457049427744932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1009.41</v>
      </c>
      <c r="G43" s="135">
        <f t="shared" si="0"/>
        <v>-0.5900000000000318</v>
      </c>
      <c r="H43" s="35">
        <f t="shared" si="7"/>
        <v>99.94158415841584</v>
      </c>
      <c r="I43" s="136">
        <f t="shared" si="1"/>
        <v>-90.59000000000003</v>
      </c>
      <c r="J43" s="136">
        <f t="shared" si="6"/>
        <v>91.76454545454546</v>
      </c>
      <c r="K43" s="136">
        <f>F43-857.86</f>
        <v>151.54999999999995</v>
      </c>
      <c r="L43" s="136">
        <f>F43/857.86*100</f>
        <v>117.66605273587764</v>
      </c>
      <c r="M43" s="137">
        <f>E43-жовтень!E43</f>
        <v>100</v>
      </c>
      <c r="N43" s="137">
        <f>F43-жовтень!F43</f>
        <v>125.63999999999999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5646.68</v>
      </c>
      <c r="G46" s="135">
        <f t="shared" si="0"/>
        <v>-73.31999999999971</v>
      </c>
      <c r="H46" s="35">
        <f t="shared" si="7"/>
        <v>98.71818181818183</v>
      </c>
      <c r="I46" s="136">
        <f t="shared" si="1"/>
        <v>-271.3199999999997</v>
      </c>
      <c r="J46" s="136">
        <f t="shared" si="6"/>
        <v>95.41534302129098</v>
      </c>
      <c r="K46" s="136">
        <f>F46-117.58</f>
        <v>5529.1</v>
      </c>
      <c r="L46" s="136">
        <f>F46/117.58*100</f>
        <v>4802.415376764756</v>
      </c>
      <c r="M46" s="137">
        <f>E46-жовтень!E46</f>
        <v>310</v>
      </c>
      <c r="N46" s="137">
        <f>F46-жовтень!F46</f>
        <v>387.7600000000002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4343.86</v>
      </c>
      <c r="G48" s="43">
        <f t="shared" si="0"/>
        <v>523.8599999999997</v>
      </c>
      <c r="H48" s="35">
        <f>F48/E48*100</f>
        <v>113.713612565445</v>
      </c>
      <c r="I48" s="50">
        <f t="shared" si="1"/>
        <v>143.85999999999967</v>
      </c>
      <c r="J48" s="50">
        <f>F48/D48*100</f>
        <v>103.42523809523809</v>
      </c>
      <c r="K48" s="50">
        <f>F48-3812.69</f>
        <v>531.1699999999996</v>
      </c>
      <c r="L48" s="50">
        <f>F48/3812.69*100</f>
        <v>113.93163357104825</v>
      </c>
      <c r="M48" s="35">
        <f>E48-жовтень!E48</f>
        <v>370</v>
      </c>
      <c r="N48" s="35">
        <f>F48-жовтень!F48</f>
        <v>333.00999999999976</v>
      </c>
      <c r="O48" s="47">
        <f t="shared" si="3"/>
        <v>-36.99000000000024</v>
      </c>
      <c r="P48" s="50">
        <f aca="true" t="shared" si="8" ref="P48:P53">N48/M48*100</f>
        <v>90.00270270270263</v>
      </c>
      <c r="Q48" s="50">
        <f>N48-277.38</f>
        <v>55.62999999999977</v>
      </c>
      <c r="R48" s="126">
        <f>N48/277.38</f>
        <v>1.2005551950392954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1138.5</v>
      </c>
      <c r="G50" s="135">
        <f t="shared" si="0"/>
        <v>1138.5</v>
      </c>
      <c r="H50" s="137"/>
      <c r="I50" s="136">
        <f t="shared" si="1"/>
        <v>1138.5</v>
      </c>
      <c r="J50" s="136"/>
      <c r="K50" s="138">
        <f>F50-926.78</f>
        <v>211.72000000000003</v>
      </c>
      <c r="L50" s="138">
        <f>F50/926.78*100</f>
        <v>122.8446880597337</v>
      </c>
      <c r="M50" s="137">
        <f>E50-жовтень!E51</f>
        <v>0</v>
      </c>
      <c r="N50" s="137">
        <f>F50-жовтень!F51</f>
        <v>94.20000000000005</v>
      </c>
      <c r="O50" s="138">
        <f t="shared" si="3"/>
        <v>94.20000000000005</v>
      </c>
      <c r="P50" s="136"/>
      <c r="Q50" s="50">
        <f>N50-64.93</f>
        <v>29.27000000000004</v>
      </c>
      <c r="R50" s="126">
        <f>N50/64.93</f>
        <v>1.450793161866626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 t="shared" si="0"/>
        <v>4.279999999999998</v>
      </c>
      <c r="H53" s="35">
        <f>F53/E53*100</f>
        <v>117.9831932773109</v>
      </c>
      <c r="I53" s="50">
        <f t="shared" si="1"/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 t="shared" si="3"/>
        <v>4.959999999999997</v>
      </c>
      <c r="P53" s="50">
        <f t="shared" si="8"/>
        <v>325.4545454545454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 t="shared" si="0"/>
        <v>0.54</v>
      </c>
      <c r="H54" s="35"/>
      <c r="I54" s="50">
        <f t="shared" si="1"/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 t="shared" si="3"/>
        <v>0.23000000000000004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637822.24</v>
      </c>
      <c r="G55" s="44">
        <f>F55-E55</f>
        <v>61210.29999999993</v>
      </c>
      <c r="H55" s="45">
        <f>F55/E55*100</f>
        <v>110.61551032051122</v>
      </c>
      <c r="I55" s="31">
        <f>F55-D55</f>
        <v>28167.170000000042</v>
      </c>
      <c r="J55" s="31">
        <f>F55/D55*100</f>
        <v>104.62018137567529</v>
      </c>
      <c r="K55" s="31">
        <f>K8+K33+K53+K54</f>
        <v>179874.33600000004</v>
      </c>
      <c r="L55" s="31">
        <f>F55/(F55-K55)*100</f>
        <v>139.27834027164803</v>
      </c>
      <c r="M55" s="18">
        <f>M8+M33+M53+M54</f>
        <v>40514.600000000006</v>
      </c>
      <c r="N55" s="18">
        <f>N8+N33+N53+N54</f>
        <v>60133.03000000003</v>
      </c>
      <c r="O55" s="49">
        <f>N55-M55</f>
        <v>19618.430000000022</v>
      </c>
      <c r="P55" s="31">
        <f>N55/M55*100</f>
        <v>148.42311166838627</v>
      </c>
      <c r="Q55" s="31">
        <f>N55-34768</f>
        <v>25365.030000000028</v>
      </c>
      <c r="R55" s="171">
        <f>N55/34768</f>
        <v>1.7295510239300513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 t="shared" si="9"/>
        <v>-1881</v>
      </c>
      <c r="H64" s="35"/>
      <c r="I64" s="53">
        <f t="shared" si="10"/>
        <v>-1881</v>
      </c>
      <c r="J64" s="53">
        <f t="shared" si="12"/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 t="shared" si="11"/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 t="shared" si="9"/>
        <v>452.2600000000002</v>
      </c>
      <c r="H65" s="35">
        <f>F65/E65*100</f>
        <v>105.82754457377077</v>
      </c>
      <c r="I65" s="53">
        <f t="shared" si="10"/>
        <v>-3363.01</v>
      </c>
      <c r="J65" s="53">
        <f t="shared" si="12"/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 t="shared" si="11"/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2292.49</v>
      </c>
      <c r="G66" s="43">
        <f t="shared" si="9"/>
        <v>811.4899999999998</v>
      </c>
      <c r="H66" s="35">
        <f>F66/E66*100</f>
        <v>154.79338284942605</v>
      </c>
      <c r="I66" s="53">
        <f t="shared" si="10"/>
        <v>-707.5100000000002</v>
      </c>
      <c r="J66" s="53">
        <f t="shared" si="12"/>
        <v>76.41633333333333</v>
      </c>
      <c r="K66" s="53">
        <f>F66-2012.55</f>
        <v>279.9399999999998</v>
      </c>
      <c r="L66" s="53">
        <f>F66/2012.55*100</f>
        <v>113.90971652878189</v>
      </c>
      <c r="M66" s="35">
        <f>E66-жовтень!E66</f>
        <v>148.0999999999999</v>
      </c>
      <c r="N66" s="35">
        <f>F66-жовтень!F66</f>
        <v>229.05999999999995</v>
      </c>
      <c r="O66" s="47">
        <f t="shared" si="11"/>
        <v>80.96000000000004</v>
      </c>
      <c r="P66" s="53">
        <f>N66/M66*100</f>
        <v>154.66576637407164</v>
      </c>
      <c r="Q66" s="53">
        <f>N66-1.05</f>
        <v>228.00999999999993</v>
      </c>
      <c r="R66" s="129">
        <f>N66/1.05</f>
        <v>218.1523809523809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11124.48</v>
      </c>
      <c r="G67" s="55">
        <f t="shared" si="9"/>
        <v>-617.25</v>
      </c>
      <c r="H67" s="65">
        <f>F67/E67*100</f>
        <v>94.74310855385025</v>
      </c>
      <c r="I67" s="54">
        <f t="shared" si="10"/>
        <v>-5951.52</v>
      </c>
      <c r="J67" s="54">
        <f t="shared" si="12"/>
        <v>65.14687280393534</v>
      </c>
      <c r="K67" s="54">
        <f>K64+K65+K66</f>
        <v>3361.4300000000003</v>
      </c>
      <c r="L67" s="54"/>
      <c r="M67" s="55">
        <f>M64+M65+M66</f>
        <v>2072.85</v>
      </c>
      <c r="N67" s="55">
        <f>N64+N65+N66</f>
        <v>1255.8399999999997</v>
      </c>
      <c r="O67" s="54">
        <f t="shared" si="11"/>
        <v>-817.0100000000002</v>
      </c>
      <c r="P67" s="54">
        <f>N67/M67*100</f>
        <v>60.585184649154534</v>
      </c>
      <c r="Q67" s="54">
        <f>N67-7985.28</f>
        <v>-6729.4400000000005</v>
      </c>
      <c r="R67" s="173">
        <f>N67/7985.28</f>
        <v>0.15726937565119817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1.19</v>
      </c>
      <c r="G70" s="43">
        <f>F70-E70</f>
        <v>1.19</v>
      </c>
      <c r="H70" s="35"/>
      <c r="I70" s="53">
        <f>F70-D70</f>
        <v>1.19</v>
      </c>
      <c r="J70" s="53"/>
      <c r="K70" s="53">
        <f>F70-1.47</f>
        <v>-0.28</v>
      </c>
      <c r="L70" s="53">
        <f>F70/1.47*100</f>
        <v>80.95238095238095</v>
      </c>
      <c r="M70" s="35">
        <f>E70-жовтень!E70</f>
        <v>0</v>
      </c>
      <c r="N70" s="35">
        <f>F70-жовтень!F70</f>
        <v>0.050000000000000044</v>
      </c>
      <c r="O70" s="47">
        <f>N70-M70</f>
        <v>0.050000000000000044</v>
      </c>
      <c r="P70" s="53"/>
      <c r="Q70" s="53">
        <f>N70-(-0.21)</f>
        <v>0.26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1.54</v>
      </c>
      <c r="G71" s="55">
        <f>F71-E71</f>
        <v>-47.46</v>
      </c>
      <c r="H71" s="65">
        <f>F71/E71*100</f>
        <v>3.1428571428571432</v>
      </c>
      <c r="I71" s="54">
        <f>F71-D71</f>
        <v>-52.46</v>
      </c>
      <c r="J71" s="54">
        <f>F71/D71*100</f>
        <v>2.851851851851852</v>
      </c>
      <c r="K71" s="54">
        <f>K68+K69+K70</f>
        <v>-54.42</v>
      </c>
      <c r="L71" s="54"/>
      <c r="M71" s="55">
        <f>M68+M70+M69</f>
        <v>0</v>
      </c>
      <c r="N71" s="55">
        <f>N68+N70+N69</f>
        <v>0.050000000000000044</v>
      </c>
      <c r="O71" s="54">
        <f>N71-M71</f>
        <v>0.050000000000000044</v>
      </c>
      <c r="P71" s="54"/>
      <c r="Q71" s="54">
        <f>N71-26.38</f>
        <v>-26.33</v>
      </c>
      <c r="R71" s="128">
        <f>N71/26.38</f>
        <v>0.0018953752843062944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30.26</v>
      </c>
      <c r="G72" s="43">
        <f>F72-E72</f>
        <v>-4.16</v>
      </c>
      <c r="H72" s="35">
        <f>F72/E72*100</f>
        <v>87.91400348634515</v>
      </c>
      <c r="I72" s="53">
        <f>F72-D72</f>
        <v>-11.739999999999998</v>
      </c>
      <c r="J72" s="53">
        <f>F72/D72*100</f>
        <v>72.04761904761905</v>
      </c>
      <c r="K72" s="53">
        <f>F72-34.05</f>
        <v>-3.7899999999999956</v>
      </c>
      <c r="L72" s="53">
        <f>F72/34.05*100</f>
        <v>88.86930983847284</v>
      </c>
      <c r="M72" s="35">
        <f>E72-жовтень!E72</f>
        <v>1</v>
      </c>
      <c r="N72" s="35">
        <f>F72-жовтень!F72</f>
        <v>0.240000000000002</v>
      </c>
      <c r="O72" s="47">
        <f>N72-M72</f>
        <v>-0.759999999999998</v>
      </c>
      <c r="P72" s="53">
        <f>N72/M72*100</f>
        <v>24.0000000000002</v>
      </c>
      <c r="Q72" s="53">
        <f>N72-0.45</f>
        <v>-0.20999999999999802</v>
      </c>
      <c r="R72" s="129">
        <f>N72/0.45</f>
        <v>0.5333333333333378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11101.730000000001</v>
      </c>
      <c r="G74" s="44">
        <f>F74-E74</f>
        <v>-723.4199999999983</v>
      </c>
      <c r="H74" s="45">
        <f>F74/E74*100</f>
        <v>93.88236090028458</v>
      </c>
      <c r="I74" s="31">
        <f>F74-D74</f>
        <v>-6070.269999999999</v>
      </c>
      <c r="J74" s="31">
        <f>F74/D74*100</f>
        <v>64.6501863498719</v>
      </c>
      <c r="K74" s="31">
        <f>K62+K67+K71+K72</f>
        <v>2963.6600000000003</v>
      </c>
      <c r="L74" s="31"/>
      <c r="M74" s="27">
        <f>M62+M72+M67+M71</f>
        <v>2073.85</v>
      </c>
      <c r="N74" s="27">
        <f>N62+N72+N67+N71+N73</f>
        <v>1256.1299999999997</v>
      </c>
      <c r="O74" s="31">
        <f>N74-M74</f>
        <v>-817.7200000000003</v>
      </c>
      <c r="P74" s="31">
        <f>N74/M74*100</f>
        <v>60.56995443257708</v>
      </c>
      <c r="Q74" s="31">
        <f>N74-8104.96</f>
        <v>-6848.83</v>
      </c>
      <c r="R74" s="127">
        <f>N74/8104.96</f>
        <v>0.15498287468414398</v>
      </c>
    </row>
    <row r="75" spans="2:18" ht="18.7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648923.97</v>
      </c>
      <c r="G75" s="44">
        <f>F75-E75</f>
        <v>60486.87999999989</v>
      </c>
      <c r="H75" s="45">
        <f>F75/E75*100</f>
        <v>110.27924327475685</v>
      </c>
      <c r="I75" s="31">
        <f>F75-D75</f>
        <v>22096.900000000023</v>
      </c>
      <c r="J75" s="31">
        <f>F75/D75*100</f>
        <v>103.52519874420867</v>
      </c>
      <c r="K75" s="31">
        <f>K55+K74</f>
        <v>182837.99600000004</v>
      </c>
      <c r="L75" s="31">
        <f>F75/(F75-K75)*100</f>
        <v>139.22838407490892</v>
      </c>
      <c r="M75" s="18">
        <f>M55+M74</f>
        <v>42588.450000000004</v>
      </c>
      <c r="N75" s="18">
        <f>N55+N74</f>
        <v>61389.160000000025</v>
      </c>
      <c r="O75" s="31">
        <f>N75-M75</f>
        <v>18800.71000000002</v>
      </c>
      <c r="P75" s="31">
        <f>N75/M75*100</f>
        <v>144.14509098124026</v>
      </c>
      <c r="Q75" s="31">
        <f>N75-42872.96</f>
        <v>18516.200000000026</v>
      </c>
      <c r="R75" s="127">
        <f>N75/42872.96</f>
        <v>1.4318852722088706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42334</v>
      </c>
      <c r="D79" s="34">
        <v>5522.2</v>
      </c>
      <c r="G79" s="4" t="s">
        <v>166</v>
      </c>
      <c r="N79" s="237"/>
      <c r="O79" s="237"/>
    </row>
    <row r="80" spans="3:15" ht="15.75">
      <c r="C80" s="111">
        <v>42333</v>
      </c>
      <c r="D80" s="34">
        <v>2126.7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42332</v>
      </c>
      <c r="D81" s="34">
        <v>3447.1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98.65277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221</v>
      </c>
      <c r="N3" s="263" t="s">
        <v>202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199</v>
      </c>
      <c r="F4" s="246" t="s">
        <v>116</v>
      </c>
      <c r="G4" s="248" t="s">
        <v>200</v>
      </c>
      <c r="H4" s="250" t="s">
        <v>201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226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224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7"/>
      <c r="O105" s="237"/>
    </row>
    <row r="106" spans="3:15" ht="15.75">
      <c r="C106" s="111">
        <v>42061</v>
      </c>
      <c r="D106" s="34">
        <v>6003.3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42060</v>
      </c>
      <c r="D107" s="34">
        <v>1551.3</v>
      </c>
      <c r="G107" s="267" t="s">
        <v>151</v>
      </c>
      <c r="H107" s="267"/>
      <c r="I107" s="106"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75" t="s">
        <v>155</v>
      </c>
      <c r="H108" s="275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138305956.27/1000</f>
        <v>138305.95627000002</v>
      </c>
      <c r="E109" s="73"/>
      <c r="F109" s="156" t="s">
        <v>147</v>
      </c>
      <c r="G109" s="267" t="s">
        <v>149</v>
      </c>
      <c r="H109" s="267"/>
      <c r="I109" s="107">
        <v>129396.23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220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219</v>
      </c>
      <c r="F4" s="246" t="s">
        <v>116</v>
      </c>
      <c r="G4" s="248" t="s">
        <v>173</v>
      </c>
      <c r="H4" s="276" t="s">
        <v>174</v>
      </c>
      <c r="I4" s="278" t="s">
        <v>217</v>
      </c>
      <c r="J4" s="281" t="s">
        <v>218</v>
      </c>
      <c r="K4" s="116" t="s">
        <v>172</v>
      </c>
      <c r="L4" s="121" t="s">
        <v>171</v>
      </c>
      <c r="M4" s="227"/>
      <c r="N4" s="226" t="s">
        <v>194</v>
      </c>
      <c r="O4" s="278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77"/>
      <c r="I5" s="279"/>
      <c r="J5" s="282"/>
      <c r="K5" s="239" t="s">
        <v>188</v>
      </c>
      <c r="L5" s="240"/>
      <c r="M5" s="228"/>
      <c r="N5" s="242"/>
      <c r="O5" s="279"/>
      <c r="P5" s="263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1"/>
      <c r="H102" s="241"/>
      <c r="I102" s="241"/>
      <c r="J102" s="24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7"/>
      <c r="O103" s="237"/>
    </row>
    <row r="104" spans="3:15" ht="15.75">
      <c r="C104" s="111">
        <v>42033</v>
      </c>
      <c r="D104" s="34">
        <v>2896.5</v>
      </c>
      <c r="F104" s="155" t="s">
        <v>166</v>
      </c>
      <c r="G104" s="267" t="s">
        <v>151</v>
      </c>
      <c r="H104" s="267"/>
      <c r="I104" s="106">
        <f>'січень '!I139</f>
        <v>8909.733</v>
      </c>
      <c r="J104" s="280" t="s">
        <v>161</v>
      </c>
      <c r="K104" s="280"/>
      <c r="L104" s="280"/>
      <c r="M104" s="280"/>
      <c r="N104" s="237"/>
      <c r="O104" s="237"/>
    </row>
    <row r="105" spans="3:15" ht="15.75">
      <c r="C105" s="111">
        <v>42032</v>
      </c>
      <c r="D105" s="34">
        <v>2838.1</v>
      </c>
      <c r="G105" s="275" t="s">
        <v>155</v>
      </c>
      <c r="H105" s="275"/>
      <c r="I105" s="103">
        <f>'січень '!I140</f>
        <v>0</v>
      </c>
      <c r="J105" s="283" t="s">
        <v>162</v>
      </c>
      <c r="K105" s="283"/>
      <c r="L105" s="283"/>
      <c r="M105" s="283"/>
      <c r="N105" s="237"/>
      <c r="O105" s="237"/>
    </row>
    <row r="106" spans="7:13" ht="15.75" customHeight="1">
      <c r="G106" s="267" t="s">
        <v>148</v>
      </c>
      <c r="H106" s="267"/>
      <c r="I106" s="103">
        <f>'січень '!I141</f>
        <v>0</v>
      </c>
      <c r="J106" s="280" t="s">
        <v>163</v>
      </c>
      <c r="K106" s="280"/>
      <c r="L106" s="280"/>
      <c r="M106" s="280"/>
    </row>
    <row r="107" spans="2:13" ht="18.75" customHeight="1">
      <c r="B107" s="233" t="s">
        <v>160</v>
      </c>
      <c r="C107" s="234"/>
      <c r="D107" s="108">
        <f>'січень '!D142</f>
        <v>132375.63</v>
      </c>
      <c r="E107" s="73"/>
      <c r="F107" s="156" t="s">
        <v>147</v>
      </c>
      <c r="G107" s="267" t="s">
        <v>149</v>
      </c>
      <c r="H107" s="267"/>
      <c r="I107" s="107">
        <f>'січень '!I142</f>
        <v>123465.893</v>
      </c>
      <c r="J107" s="280" t="s">
        <v>164</v>
      </c>
      <c r="K107" s="280"/>
      <c r="L107" s="280"/>
      <c r="M107" s="280"/>
    </row>
    <row r="108" spans="7:12" ht="9.75" customHeight="1">
      <c r="G108" s="229"/>
      <c r="H108" s="229"/>
      <c r="I108" s="90"/>
      <c r="J108" s="91"/>
      <c r="K108" s="91"/>
      <c r="L108" s="91"/>
    </row>
    <row r="109" spans="2:12" ht="22.5" customHeight="1" hidden="1">
      <c r="B109" s="230" t="s">
        <v>167</v>
      </c>
      <c r="C109" s="231"/>
      <c r="D109" s="110">
        <v>0</v>
      </c>
      <c r="E109" s="70" t="s">
        <v>104</v>
      </c>
      <c r="G109" s="229"/>
      <c r="H109" s="229"/>
      <c r="I109" s="90"/>
      <c r="J109" s="91"/>
      <c r="K109" s="91"/>
      <c r="L109" s="91"/>
    </row>
    <row r="110" spans="4:15" ht="15.75">
      <c r="D110" s="105"/>
      <c r="N110" s="229"/>
      <c r="O110" s="229"/>
    </row>
    <row r="111" spans="4:15" ht="15.75">
      <c r="D111" s="104"/>
      <c r="I111" s="34"/>
      <c r="N111" s="232"/>
      <c r="O111" s="232"/>
    </row>
    <row r="112" spans="14:15" ht="15.75">
      <c r="N112" s="229"/>
      <c r="O112" s="22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 t="s">
        <v>203</v>
      </c>
      <c r="C3" s="257" t="s">
        <v>0</v>
      </c>
      <c r="D3" s="258" t="s">
        <v>190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187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153</v>
      </c>
      <c r="F4" s="246" t="s">
        <v>116</v>
      </c>
      <c r="G4" s="248" t="s">
        <v>173</v>
      </c>
      <c r="H4" s="276" t="s">
        <v>174</v>
      </c>
      <c r="I4" s="278" t="s">
        <v>186</v>
      </c>
      <c r="J4" s="281" t="s">
        <v>189</v>
      </c>
      <c r="K4" s="116" t="s">
        <v>172</v>
      </c>
      <c r="L4" s="121" t="s">
        <v>171</v>
      </c>
      <c r="M4" s="227"/>
      <c r="N4" s="226" t="s">
        <v>194</v>
      </c>
      <c r="O4" s="278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77"/>
      <c r="I5" s="279"/>
      <c r="J5" s="282"/>
      <c r="K5" s="239" t="s">
        <v>188</v>
      </c>
      <c r="L5" s="240"/>
      <c r="M5" s="228"/>
      <c r="N5" s="242"/>
      <c r="O5" s="279"/>
      <c r="P5" s="263"/>
      <c r="Q5" s="239" t="s">
        <v>176</v>
      </c>
      <c r="R5" s="240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1"/>
      <c r="H137" s="241"/>
      <c r="I137" s="241"/>
      <c r="J137" s="24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7"/>
      <c r="O138" s="237"/>
    </row>
    <row r="139" spans="3:15" ht="15.75">
      <c r="C139" s="111">
        <v>42033</v>
      </c>
      <c r="D139" s="34">
        <v>2896.5</v>
      </c>
      <c r="F139" s="155" t="s">
        <v>166</v>
      </c>
      <c r="G139" s="267" t="s">
        <v>151</v>
      </c>
      <c r="H139" s="267"/>
      <c r="I139" s="106">
        <f>8909.733</f>
        <v>8909.733</v>
      </c>
      <c r="J139" s="280" t="s">
        <v>161</v>
      </c>
      <c r="K139" s="280"/>
      <c r="L139" s="280"/>
      <c r="M139" s="280"/>
      <c r="N139" s="237"/>
      <c r="O139" s="237"/>
    </row>
    <row r="140" spans="3:15" ht="15.75">
      <c r="C140" s="111">
        <v>42032</v>
      </c>
      <c r="D140" s="34">
        <v>2838.1</v>
      </c>
      <c r="G140" s="275" t="s">
        <v>155</v>
      </c>
      <c r="H140" s="275"/>
      <c r="I140" s="103">
        <v>0</v>
      </c>
      <c r="J140" s="283" t="s">
        <v>162</v>
      </c>
      <c r="K140" s="283"/>
      <c r="L140" s="283"/>
      <c r="M140" s="283"/>
      <c r="N140" s="237"/>
      <c r="O140" s="237"/>
    </row>
    <row r="141" spans="7:13" ht="15.75" customHeight="1">
      <c r="G141" s="267" t="s">
        <v>148</v>
      </c>
      <c r="H141" s="267"/>
      <c r="I141" s="103">
        <v>0</v>
      </c>
      <c r="J141" s="280" t="s">
        <v>163</v>
      </c>
      <c r="K141" s="280"/>
      <c r="L141" s="280"/>
      <c r="M141" s="280"/>
    </row>
    <row r="142" spans="2:13" ht="18.75" customHeight="1">
      <c r="B142" s="233" t="s">
        <v>160</v>
      </c>
      <c r="C142" s="234"/>
      <c r="D142" s="108">
        <f>132375.63</f>
        <v>132375.63</v>
      </c>
      <c r="E142" s="73"/>
      <c r="F142" s="156" t="s">
        <v>147</v>
      </c>
      <c r="G142" s="267" t="s">
        <v>149</v>
      </c>
      <c r="H142" s="267"/>
      <c r="I142" s="107">
        <f>123465.893</f>
        <v>123465.893</v>
      </c>
      <c r="J142" s="280" t="s">
        <v>164</v>
      </c>
      <c r="K142" s="280"/>
      <c r="L142" s="280"/>
      <c r="M142" s="280"/>
    </row>
    <row r="143" spans="7:12" ht="9.75" customHeight="1">
      <c r="G143" s="229"/>
      <c r="H143" s="229"/>
      <c r="I143" s="90"/>
      <c r="J143" s="91"/>
      <c r="K143" s="91"/>
      <c r="L143" s="91"/>
    </row>
    <row r="144" spans="2:12" ht="22.5" customHeight="1" hidden="1">
      <c r="B144" s="230" t="s">
        <v>167</v>
      </c>
      <c r="C144" s="231"/>
      <c r="D144" s="110">
        <v>0</v>
      </c>
      <c r="E144" s="70" t="s">
        <v>104</v>
      </c>
      <c r="G144" s="229"/>
      <c r="H144" s="229"/>
      <c r="I144" s="90"/>
      <c r="J144" s="91"/>
      <c r="K144" s="91"/>
      <c r="L144" s="91"/>
    </row>
    <row r="145" spans="4:15" ht="15.75">
      <c r="D145" s="105"/>
      <c r="N145" s="229"/>
      <c r="O145" s="229"/>
    </row>
    <row r="146" spans="4:15" ht="15.75">
      <c r="D146" s="104"/>
      <c r="I146" s="34"/>
      <c r="N146" s="232"/>
      <c r="O146" s="232"/>
    </row>
    <row r="147" spans="14:15" ht="15.75">
      <c r="N147" s="229"/>
      <c r="O147" s="22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2" sqref="C22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311</v>
      </c>
      <c r="N3" s="263" t="s">
        <v>312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307</v>
      </c>
      <c r="F4" s="246" t="s">
        <v>116</v>
      </c>
      <c r="G4" s="248" t="s">
        <v>308</v>
      </c>
      <c r="H4" s="250" t="s">
        <v>309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314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310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-15914.669999999984</v>
      </c>
      <c r="J9" s="50">
        <f t="shared" si="2"/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-7774.719999999972</v>
      </c>
      <c r="J10" s="136">
        <f t="shared" si="2"/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-7390.959999999999</v>
      </c>
      <c r="J11" s="136">
        <f t="shared" si="2"/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7"/>
      <c r="O79" s="237"/>
    </row>
    <row r="80" spans="3:15" ht="15.75">
      <c r="C80" s="111">
        <v>42306</v>
      </c>
      <c r="D80" s="34">
        <v>6844.5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42305</v>
      </c>
      <c r="D81" s="34">
        <v>4690.4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257.30632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303</v>
      </c>
      <c r="N3" s="263" t="s">
        <v>304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298</v>
      </c>
      <c r="F4" s="246" t="s">
        <v>116</v>
      </c>
      <c r="G4" s="248" t="s">
        <v>299</v>
      </c>
      <c r="H4" s="250" t="s">
        <v>300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306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302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-47814.590000000026</v>
      </c>
      <c r="J9" s="50">
        <f t="shared" si="2"/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-36473.51999999999</v>
      </c>
      <c r="J10" s="136">
        <f t="shared" si="2"/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-9197.31</v>
      </c>
      <c r="J11" s="136">
        <f t="shared" si="2"/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7"/>
      <c r="O79" s="237"/>
    </row>
    <row r="80" spans="3:15" ht="15.75">
      <c r="C80" s="111">
        <v>42276</v>
      </c>
      <c r="D80" s="34">
        <v>6511.1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42275</v>
      </c>
      <c r="D81" s="34">
        <v>4229.6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f>1507100.82/1000</f>
        <v>1507.10082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293</v>
      </c>
      <c r="N3" s="263" t="s">
        <v>294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291</v>
      </c>
      <c r="F4" s="246" t="s">
        <v>116</v>
      </c>
      <c r="G4" s="248" t="s">
        <v>292</v>
      </c>
      <c r="H4" s="250" t="s">
        <v>301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297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295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-78478.98999999999</v>
      </c>
      <c r="J9" s="50">
        <f t="shared" si="2"/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-63791.79000000001</v>
      </c>
      <c r="J10" s="136">
        <f t="shared" si="2"/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-10791.44</v>
      </c>
      <c r="J11" s="136">
        <f t="shared" si="2"/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7"/>
      <c r="O79" s="237"/>
    </row>
    <row r="80" spans="3:15" ht="15.75">
      <c r="C80" s="111">
        <v>42244</v>
      </c>
      <c r="D80" s="34">
        <v>8323.9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42243</v>
      </c>
      <c r="D81" s="34">
        <v>4177.3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2162.07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5" sqref="B2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285</v>
      </c>
      <c r="N3" s="263" t="s">
        <v>286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282</v>
      </c>
      <c r="F4" s="246" t="s">
        <v>116</v>
      </c>
      <c r="G4" s="248" t="s">
        <v>283</v>
      </c>
      <c r="H4" s="250" t="s">
        <v>284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290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287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-90340.03</v>
      </c>
      <c r="J10" s="136">
        <f t="shared" si="2"/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7"/>
      <c r="O79" s="237"/>
    </row>
    <row r="80" spans="3:15" ht="15.75">
      <c r="C80" s="111">
        <v>42215</v>
      </c>
      <c r="D80" s="34">
        <v>7239.9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42214</v>
      </c>
      <c r="D81" s="34">
        <v>4823.1</v>
      </c>
      <c r="G81" s="267" t="s">
        <v>151</v>
      </c>
      <c r="H81" s="267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8" t="s">
        <v>234</v>
      </c>
      <c r="H82" s="269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24842.96012</v>
      </c>
      <c r="E83" s="73"/>
      <c r="F83" s="156" t="s">
        <v>147</v>
      </c>
      <c r="G83" s="267" t="s">
        <v>149</v>
      </c>
      <c r="H83" s="267"/>
      <c r="I83" s="107">
        <v>15933.22791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2" t="s">
        <v>280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17"/>
      <c r="R1" s="118"/>
    </row>
    <row r="2" spans="2:18" s="1" customFormat="1" ht="15.75" customHeight="1">
      <c r="B2" s="253"/>
      <c r="C2" s="253"/>
      <c r="D2" s="25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277</v>
      </c>
      <c r="N3" s="263" t="s">
        <v>278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279</v>
      </c>
      <c r="F4" s="270" t="s">
        <v>116</v>
      </c>
      <c r="G4" s="248" t="s">
        <v>275</v>
      </c>
      <c r="H4" s="250" t="s">
        <v>276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281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71"/>
      <c r="G5" s="249"/>
      <c r="H5" s="251"/>
      <c r="I5" s="244"/>
      <c r="J5" s="228"/>
      <c r="K5" s="239" t="s">
        <v>288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-118183.1</v>
      </c>
      <c r="J10" s="136">
        <f t="shared" si="2"/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7"/>
      <c r="O79" s="237"/>
    </row>
    <row r="80" spans="3:15" ht="15.75">
      <c r="C80" s="111">
        <v>42181</v>
      </c>
      <c r="D80" s="34">
        <v>8722.4</v>
      </c>
      <c r="F80" s="217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42180</v>
      </c>
      <c r="D81" s="34">
        <v>4146.6</v>
      </c>
      <c r="G81" s="267" t="s">
        <v>151</v>
      </c>
      <c r="H81" s="267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8" t="s">
        <v>234</v>
      </c>
      <c r="H82" s="269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152943.93305000002</v>
      </c>
      <c r="E83" s="73"/>
      <c r="F83" s="218" t="s">
        <v>147</v>
      </c>
      <c r="G83" s="267" t="s">
        <v>149</v>
      </c>
      <c r="H83" s="267"/>
      <c r="I83" s="107">
        <v>144034.20084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266</v>
      </c>
      <c r="N3" s="263" t="s">
        <v>267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262</v>
      </c>
      <c r="F4" s="246" t="s">
        <v>116</v>
      </c>
      <c r="G4" s="248" t="s">
        <v>263</v>
      </c>
      <c r="H4" s="250" t="s">
        <v>264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273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265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-148216.26</v>
      </c>
      <c r="J10" s="136">
        <f t="shared" si="2"/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7"/>
      <c r="O79" s="237"/>
    </row>
    <row r="80" spans="3:15" ht="15.75">
      <c r="C80" s="111">
        <v>42152</v>
      </c>
      <c r="D80" s="34">
        <v>5845.4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42151</v>
      </c>
      <c r="D81" s="34">
        <v>3158.7</v>
      </c>
      <c r="G81" s="267" t="s">
        <v>151</v>
      </c>
      <c r="H81" s="267"/>
      <c r="I81" s="106">
        <v>8909.73221</v>
      </c>
      <c r="J81" s="236"/>
      <c r="K81" s="236"/>
      <c r="L81" s="236"/>
      <c r="M81" s="236"/>
      <c r="N81" s="237"/>
      <c r="O81" s="237"/>
    </row>
    <row r="82" spans="7:13" ht="15.75" customHeight="1">
      <c r="G82" s="268" t="s">
        <v>234</v>
      </c>
      <c r="H82" s="269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153606.78</v>
      </c>
      <c r="E83" s="73"/>
      <c r="F83" s="156" t="s">
        <v>147</v>
      </c>
      <c r="G83" s="267" t="s">
        <v>149</v>
      </c>
      <c r="H83" s="267"/>
      <c r="I83" s="107">
        <v>144697.05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7" sqref="B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240</v>
      </c>
      <c r="N3" s="263" t="s">
        <v>241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237</v>
      </c>
      <c r="F4" s="273" t="s">
        <v>116</v>
      </c>
      <c r="G4" s="248" t="s">
        <v>238</v>
      </c>
      <c r="H4" s="250" t="s">
        <v>239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260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74"/>
      <c r="G5" s="249"/>
      <c r="H5" s="251"/>
      <c r="I5" s="244"/>
      <c r="J5" s="228"/>
      <c r="K5" s="239" t="s">
        <v>242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-172058.69</v>
      </c>
      <c r="J11" s="136">
        <f t="shared" si="2"/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1"/>
      <c r="H103" s="241"/>
      <c r="I103" s="241"/>
      <c r="J103" s="24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7"/>
      <c r="O104" s="237"/>
    </row>
    <row r="105" spans="3:15" ht="15.75">
      <c r="C105" s="111">
        <v>42123</v>
      </c>
      <c r="D105" s="34">
        <v>7959.6</v>
      </c>
      <c r="F105" s="201" t="s">
        <v>166</v>
      </c>
      <c r="G105" s="229"/>
      <c r="H105" s="229"/>
      <c r="I105" s="177"/>
      <c r="J105" s="235"/>
      <c r="K105" s="235"/>
      <c r="L105" s="235"/>
      <c r="M105" s="235"/>
      <c r="N105" s="237"/>
      <c r="O105" s="237"/>
    </row>
    <row r="106" spans="3:15" ht="15.75" customHeight="1">
      <c r="C106" s="111">
        <v>42122</v>
      </c>
      <c r="D106" s="34">
        <v>4962.7</v>
      </c>
      <c r="G106" s="267" t="s">
        <v>151</v>
      </c>
      <c r="H106" s="267"/>
      <c r="I106" s="106">
        <v>8909.73221</v>
      </c>
      <c r="J106" s="236"/>
      <c r="K106" s="236"/>
      <c r="L106" s="236"/>
      <c r="M106" s="236"/>
      <c r="N106" s="237"/>
      <c r="O106" s="237"/>
    </row>
    <row r="107" spans="7:13" ht="15.75" customHeight="1">
      <c r="G107" s="268" t="s">
        <v>234</v>
      </c>
      <c r="H107" s="269"/>
      <c r="I107" s="103">
        <v>0</v>
      </c>
      <c r="J107" s="235"/>
      <c r="K107" s="235"/>
      <c r="L107" s="235"/>
      <c r="M107" s="235"/>
    </row>
    <row r="108" spans="2:13" ht="18.75" customHeight="1">
      <c r="B108" s="233" t="s">
        <v>160</v>
      </c>
      <c r="C108" s="234"/>
      <c r="D108" s="108">
        <v>154856.06924</v>
      </c>
      <c r="E108" s="73"/>
      <c r="F108" s="202" t="s">
        <v>147</v>
      </c>
      <c r="G108" s="267" t="s">
        <v>149</v>
      </c>
      <c r="H108" s="267"/>
      <c r="I108" s="107">
        <v>145946.33703</v>
      </c>
      <c r="J108" s="235"/>
      <c r="K108" s="235"/>
      <c r="L108" s="235"/>
      <c r="M108" s="235"/>
    </row>
    <row r="109" spans="7:12" ht="9.75" customHeight="1">
      <c r="G109" s="229"/>
      <c r="H109" s="229"/>
      <c r="I109" s="90"/>
      <c r="J109" s="91"/>
      <c r="K109" s="91"/>
      <c r="L109" s="91"/>
    </row>
    <row r="110" spans="2:12" ht="22.5" customHeight="1" hidden="1">
      <c r="B110" s="230" t="s">
        <v>167</v>
      </c>
      <c r="C110" s="231"/>
      <c r="D110" s="110">
        <v>0</v>
      </c>
      <c r="E110" s="70" t="s">
        <v>104</v>
      </c>
      <c r="G110" s="229"/>
      <c r="H110" s="229"/>
      <c r="I110" s="90"/>
      <c r="J110" s="91"/>
      <c r="K110" s="91"/>
      <c r="L110" s="91"/>
    </row>
    <row r="111" spans="4:15" ht="15.75">
      <c r="D111" s="105"/>
      <c r="N111" s="229"/>
      <c r="O111" s="229"/>
    </row>
    <row r="112" spans="4:15" ht="15.75">
      <c r="D112" s="104"/>
      <c r="I112" s="34"/>
      <c r="N112" s="232"/>
      <c r="O112" s="232"/>
    </row>
    <row r="113" spans="14:15" ht="15.75">
      <c r="N113" s="229"/>
      <c r="O113" s="22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231</v>
      </c>
      <c r="N3" s="263" t="s">
        <v>232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228</v>
      </c>
      <c r="F4" s="246" t="s">
        <v>116</v>
      </c>
      <c r="G4" s="248" t="s">
        <v>229</v>
      </c>
      <c r="H4" s="250" t="s">
        <v>230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236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233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7"/>
      <c r="O105" s="237"/>
    </row>
    <row r="106" spans="3:15" ht="15.75">
      <c r="C106" s="111">
        <v>42093</v>
      </c>
      <c r="D106" s="34">
        <v>8025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42090</v>
      </c>
      <c r="D107" s="34">
        <v>4282.6</v>
      </c>
      <c r="G107" s="267" t="s">
        <v>151</v>
      </c>
      <c r="H107" s="267"/>
      <c r="I107" s="106">
        <f>8909732.21/1000</f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68" t="s">
        <v>234</v>
      </c>
      <c r="H108" s="269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147433239.77/1000</f>
        <v>147433.23977000001</v>
      </c>
      <c r="E109" s="73"/>
      <c r="F109" s="156" t="s">
        <v>147</v>
      </c>
      <c r="G109" s="267" t="s">
        <v>149</v>
      </c>
      <c r="H109" s="267"/>
      <c r="I109" s="107">
        <f>138523507.56/1000</f>
        <v>138523.50756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2015-11-26T08:01:27Z</cp:lastPrinted>
  <dcterms:created xsi:type="dcterms:W3CDTF">2003-07-28T11:27:56Z</dcterms:created>
  <dcterms:modified xsi:type="dcterms:W3CDTF">2015-11-27T09:44:03Z</dcterms:modified>
  <cp:category/>
  <cp:version/>
  <cp:contentType/>
  <cp:contentStatus/>
</cp:coreProperties>
</file>